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2980" windowHeight="9468"/>
  </bookViews>
  <sheets>
    <sheet name="Автомобильный Калькулятор" sheetId="1" r:id="rId1"/>
  </sheets>
  <calcPr calcId="145621"/>
</workbook>
</file>

<file path=xl/calcChain.xml><?xml version="1.0" encoding="utf-8"?>
<calcChain xmlns="http://schemas.openxmlformats.org/spreadsheetml/2006/main">
  <c r="B38" i="1" l="1"/>
  <c r="G10" i="1" l="1"/>
  <c r="F19" i="1" l="1"/>
  <c r="F26" i="1"/>
  <c r="E27" i="1"/>
  <c r="E28" i="1"/>
  <c r="E29" i="1"/>
  <c r="E30" i="1"/>
  <c r="F31" i="1"/>
  <c r="E31" i="1" s="1"/>
  <c r="F32" i="1"/>
  <c r="E33" i="1"/>
  <c r="G12" i="1"/>
  <c r="G11" i="1"/>
  <c r="E25" i="1" l="1"/>
  <c r="E35" i="1" s="1"/>
  <c r="G16" i="1"/>
  <c r="G15" i="1"/>
  <c r="G18" i="1"/>
  <c r="G17" i="1"/>
  <c r="G19" i="1"/>
  <c r="J19" i="1" s="1"/>
  <c r="K19" i="1" s="1"/>
  <c r="G25" i="1"/>
  <c r="F35" i="1"/>
  <c r="F36" i="1" s="1"/>
  <c r="G36" i="1" l="1"/>
  <c r="G35" i="1" s="1"/>
  <c r="H35" i="1" s="1"/>
  <c r="H36" i="1"/>
  <c r="H16" i="1"/>
  <c r="I16" i="1" s="1"/>
  <c r="J16" i="1"/>
  <c r="K16" i="1" s="1"/>
  <c r="H17" i="1"/>
  <c r="I17" i="1" s="1"/>
  <c r="J17" i="1"/>
  <c r="K17" i="1" s="1"/>
  <c r="J15" i="1"/>
  <c r="K15" i="1" s="1"/>
  <c r="H15" i="1"/>
  <c r="I15" i="1" s="1"/>
  <c r="H19" i="1"/>
  <c r="I19" i="1" s="1"/>
  <c r="J18" i="1"/>
  <c r="K18" i="1" s="1"/>
  <c r="H18" i="1"/>
  <c r="I18" i="1" s="1"/>
</calcChain>
</file>

<file path=xl/sharedStrings.xml><?xml version="1.0" encoding="utf-8"?>
<sst xmlns="http://schemas.openxmlformats.org/spreadsheetml/2006/main" count="41" uniqueCount="40">
  <si>
    <t>в год</t>
  </si>
  <si>
    <t>в мес</t>
  </si>
  <si>
    <t>Ежемесячный чистый доход вашей семьи ("на руки")</t>
  </si>
  <si>
    <t>Платеж по авто-кредиту</t>
  </si>
  <si>
    <t>Стоимость страховки</t>
  </si>
  <si>
    <t>добровольное и обязательное</t>
  </si>
  <si>
    <t>Расходы на бензин</t>
  </si>
  <si>
    <t>ТО, ремонт и запчасти</t>
  </si>
  <si>
    <t>Парковка</t>
  </si>
  <si>
    <t>Штрафы</t>
  </si>
  <si>
    <t>Мойка</t>
  </si>
  <si>
    <t>Ежегодный налог</t>
  </si>
  <si>
    <t>Другие раходы</t>
  </si>
  <si>
    <t>Итого расходов на автомобиль в мес. в %%</t>
  </si>
  <si>
    <t>Макс. ежемес. платеж по кредиту не должен превышать</t>
  </si>
  <si>
    <t>или 10% от вашего дохода</t>
  </si>
  <si>
    <t>MoneyPapa</t>
  </si>
  <si>
    <t>Автомобильный Калькулятор</t>
  </si>
  <si>
    <t>3-летний кредит</t>
  </si>
  <si>
    <t>5-летний кредит</t>
  </si>
  <si>
    <t>1-летний кредит</t>
  </si>
  <si>
    <t>норма</t>
  </si>
  <si>
    <t>Оптимальные показатели</t>
  </si>
  <si>
    <t>Оптимальная величина авто. расходов на авто не должна превышать</t>
  </si>
  <si>
    <t>2-летний кредит</t>
  </si>
  <si>
    <t>посмотрите в интернете</t>
  </si>
  <si>
    <t>перв. взнос</t>
  </si>
  <si>
    <t>4-летний кредит</t>
  </si>
  <si>
    <t>ежемес. Платеж</t>
  </si>
  <si>
    <t>сумма кредита</t>
  </si>
  <si>
    <t>проц. ставка</t>
  </si>
  <si>
    <t>Рыночная стоимость авто, к-й вы хотите купить</t>
  </si>
  <si>
    <t>Итого, 
ст-ть</t>
  </si>
  <si>
    <t>Калькулятор автомобильных расходов</t>
  </si>
  <si>
    <t>вставьте ежемесячный платеж и сравните с нормой</t>
  </si>
  <si>
    <t>Расчет оптимального кредита</t>
  </si>
  <si>
    <t>Оптимальная стоимость автомобиля</t>
  </si>
  <si>
    <t>40% от "чистого" (после налогово) годового дохода</t>
  </si>
  <si>
    <t>переплата по %%</t>
  </si>
  <si>
    <t>Итого расходов на автомобиль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</si>
</sst>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2"/>
      <name val="Candara"/>
      <family val="2"/>
      <charset val="204"/>
    </font>
    <font>
      <b/>
      <u/>
      <sz val="12"/>
      <color theme="10"/>
      <name val="Candara"/>
      <family val="2"/>
      <charset val="204"/>
    </font>
    <font>
      <i/>
      <sz val="12"/>
      <name val="Candara"/>
      <family val="2"/>
      <charset val="204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charset val="204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Protection="1">
      <protection hidden="1"/>
    </xf>
    <xf numFmtId="164" fontId="2" fillId="0" borderId="0" xfId="1" applyNumberFormat="1" applyFont="1" applyProtection="1">
      <protection hidden="1"/>
    </xf>
    <xf numFmtId="0" fontId="0" fillId="0" borderId="0" xfId="0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/>
      <protection hidden="1"/>
    </xf>
    <xf numFmtId="164" fontId="3" fillId="0" borderId="0" xfId="1" applyNumberFormat="1" applyFont="1" applyAlignment="1" applyProtection="1">
      <alignment horizontal="right"/>
      <protection hidden="1"/>
    </xf>
    <xf numFmtId="164" fontId="0" fillId="0" borderId="0" xfId="0" applyNumberFormat="1" applyProtection="1">
      <protection hidden="1"/>
    </xf>
    <xf numFmtId="164" fontId="0" fillId="0" borderId="0" xfId="1" applyNumberFormat="1" applyFont="1" applyProtection="1">
      <protection hidden="1"/>
    </xf>
    <xf numFmtId="164" fontId="0" fillId="0" borderId="0" xfId="1" applyNumberFormat="1" applyFont="1" applyAlignment="1" applyProtection="1">
      <alignment shrinkToFit="1"/>
      <protection hidden="1"/>
    </xf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  <xf numFmtId="164" fontId="0" fillId="0" borderId="1" xfId="1" applyNumberFormat="1" applyFont="1" applyBorder="1" applyAlignment="1" applyProtection="1">
      <alignment shrinkToFit="1"/>
      <protection hidden="1"/>
    </xf>
    <xf numFmtId="9" fontId="0" fillId="0" borderId="0" xfId="2" applyFont="1" applyProtection="1">
      <protection hidden="1"/>
    </xf>
    <xf numFmtId="0" fontId="0" fillId="0" borderId="0" xfId="0" applyAlignment="1" applyProtection="1">
      <alignment horizontal="right" indent="1"/>
      <protection hidden="1"/>
    </xf>
    <xf numFmtId="0" fontId="8" fillId="0" borderId="0" xfId="3" applyFont="1" applyFill="1" applyProtection="1">
      <protection hidden="1"/>
    </xf>
    <xf numFmtId="0" fontId="7" fillId="0" borderId="0" xfId="0" applyFont="1" applyFill="1" applyBorder="1" applyAlignment="1" applyProtection="1">
      <protection hidden="1"/>
    </xf>
    <xf numFmtId="0" fontId="0" fillId="0" borderId="0" xfId="0" applyAlignment="1" applyProtection="1">
      <alignment horizontal="left" indent="3"/>
      <protection hidden="1"/>
    </xf>
    <xf numFmtId="164" fontId="10" fillId="0" borderId="0" xfId="1" applyNumberFormat="1" applyFont="1" applyAlignment="1" applyProtection="1">
      <alignment shrinkToFit="1"/>
      <protection locked="0" hidden="1"/>
    </xf>
    <xf numFmtId="0" fontId="3" fillId="0" borderId="0" xfId="0" applyFont="1" applyAlignment="1" applyProtection="1">
      <alignment horizontal="right" indent="1" shrinkToFit="1"/>
      <protection hidden="1"/>
    </xf>
    <xf numFmtId="164" fontId="0" fillId="0" borderId="2" xfId="1" applyNumberFormat="1" applyFont="1" applyBorder="1" applyAlignment="1" applyProtection="1">
      <alignment shrinkToFit="1"/>
      <protection hidden="1"/>
    </xf>
    <xf numFmtId="0" fontId="5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164" fontId="0" fillId="2" borderId="0" xfId="0" applyNumberFormat="1" applyFill="1" applyProtection="1">
      <protection hidden="1"/>
    </xf>
    <xf numFmtId="0" fontId="0" fillId="2" borderId="0" xfId="0" applyFill="1" applyAlignment="1" applyProtection="1">
      <alignment horizontal="left" indent="1"/>
      <protection hidden="1"/>
    </xf>
    <xf numFmtId="0" fontId="9" fillId="0" borderId="0" xfId="0" applyFont="1" applyProtection="1">
      <protection hidden="1"/>
    </xf>
    <xf numFmtId="0" fontId="12" fillId="0" borderId="0" xfId="0" applyFont="1" applyAlignment="1" applyProtection="1">
      <alignment horizontal="right" wrapText="1"/>
      <protection hidden="1"/>
    </xf>
    <xf numFmtId="0" fontId="0" fillId="0" borderId="0" xfId="0" applyAlignment="1" applyProtection="1">
      <alignment horizontal="right" wrapText="1"/>
      <protection hidden="1"/>
    </xf>
    <xf numFmtId="164" fontId="10" fillId="0" borderId="0" xfId="1" applyNumberFormat="1" applyFont="1" applyProtection="1">
      <protection hidden="1"/>
    </xf>
    <xf numFmtId="164" fontId="10" fillId="2" borderId="0" xfId="1" applyNumberFormat="1" applyFont="1" applyFill="1" applyProtection="1">
      <protection hidden="1"/>
    </xf>
    <xf numFmtId="165" fontId="10" fillId="0" borderId="0" xfId="2" applyNumberFormat="1" applyFont="1" applyProtection="1">
      <protection locked="0" hidden="1"/>
    </xf>
    <xf numFmtId="165" fontId="10" fillId="0" borderId="0" xfId="0" applyNumberFormat="1" applyFont="1" applyProtection="1">
      <protection locked="0" hidden="1"/>
    </xf>
    <xf numFmtId="6" fontId="0" fillId="0" borderId="0" xfId="0" applyNumberFormat="1" applyProtection="1">
      <protection hidden="1"/>
    </xf>
    <xf numFmtId="164" fontId="0" fillId="0" borderId="0" xfId="1" applyNumberFormat="1" applyFont="1" applyAlignment="1" applyProtection="1">
      <alignment horizontal="left" shrinkToFit="1"/>
      <protection hidden="1"/>
    </xf>
    <xf numFmtId="164" fontId="0" fillId="0" borderId="0" xfId="0" applyNumberFormat="1" applyAlignment="1" applyProtection="1">
      <alignment shrinkToFit="1"/>
      <protection hidden="1"/>
    </xf>
    <xf numFmtId="164" fontId="13" fillId="0" borderId="0" xfId="1" applyNumberFormat="1" applyFont="1" applyAlignment="1" applyProtection="1">
      <alignment shrinkToFit="1"/>
      <protection hidden="1"/>
    </xf>
    <xf numFmtId="164" fontId="11" fillId="0" borderId="0" xfId="1" applyNumberFormat="1" applyFont="1" applyBorder="1" applyAlignment="1" applyProtection="1">
      <alignment shrinkToFit="1"/>
      <protection locked="0" hidden="1"/>
    </xf>
    <xf numFmtId="164" fontId="11" fillId="0" borderId="1" xfId="1" applyNumberFormat="1" applyFont="1" applyBorder="1" applyAlignment="1" applyProtection="1">
      <alignment shrinkToFit="1"/>
      <protection locked="0" hidden="1"/>
    </xf>
    <xf numFmtId="164" fontId="0" fillId="0" borderId="0" xfId="0" applyNumberFormat="1" applyAlignment="1" applyProtection="1">
      <alignment horizontal="left" shrinkToFit="1"/>
      <protection hidden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moneypapa.ru/go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190501</xdr:colOff>
      <xdr:row>0</xdr:row>
      <xdr:rowOff>144360</xdr:rowOff>
    </xdr:from>
    <xdr:to>
      <xdr:col>11</xdr:col>
      <xdr:colOff>320040</xdr:colOff>
      <xdr:row>4</xdr:row>
      <xdr:rowOff>166080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2421" y="144360"/>
          <a:ext cx="830579" cy="791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neypapa.ru/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showGridLines="0" tabSelected="1" zoomScale="87" zoomScaleNormal="87" workbookViewId="0">
      <selection activeCell="G5" sqref="G5"/>
    </sheetView>
  </sheetViews>
  <sheetFormatPr defaultColWidth="0" defaultRowHeight="14.4" zeroHeight="1" x14ac:dyDescent="0.3"/>
  <cols>
    <col min="1" max="1" width="4" style="1" customWidth="1"/>
    <col min="2" max="2" width="21.6640625" style="1" customWidth="1"/>
    <col min="3" max="3" width="11.21875" style="1" bestFit="1" customWidth="1"/>
    <col min="4" max="4" width="14.33203125" style="1" customWidth="1"/>
    <col min="5" max="5" width="11.88671875" style="1" customWidth="1"/>
    <col min="6" max="6" width="11.109375" style="1" bestFit="1" customWidth="1"/>
    <col min="7" max="7" width="12" style="1" customWidth="1"/>
    <col min="8" max="8" width="8.88671875" style="1" customWidth="1"/>
    <col min="9" max="9" width="9.44140625" style="1" customWidth="1"/>
    <col min="10" max="10" width="8.88671875" style="1" customWidth="1"/>
    <col min="11" max="11" width="10.21875" style="1" customWidth="1"/>
    <col min="12" max="13" width="8.88671875" style="1" customWidth="1"/>
    <col min="14" max="14" width="4.6640625" style="1" customWidth="1"/>
    <col min="15" max="16384" width="8.88671875" style="1" hidden="1"/>
  </cols>
  <sheetData>
    <row r="1" spans="2:13" x14ac:dyDescent="0.3"/>
    <row r="2" spans="2:13" ht="15.6" x14ac:dyDescent="0.3">
      <c r="B2" s="14" t="s">
        <v>16</v>
      </c>
    </row>
    <row r="3" spans="2:13" ht="15.6" x14ac:dyDescent="0.3">
      <c r="B3" s="15" t="s">
        <v>17</v>
      </c>
    </row>
    <row r="4" spans="2:13" ht="15" thickBot="1" x14ac:dyDescent="0.35"/>
    <row r="5" spans="2:13" ht="15" thickBot="1" x14ac:dyDescent="0.35">
      <c r="B5" s="1" t="s">
        <v>2</v>
      </c>
      <c r="E5" s="6"/>
      <c r="G5" s="36">
        <v>110000</v>
      </c>
    </row>
    <row r="6" spans="2:13" x14ac:dyDescent="0.3">
      <c r="E6" s="6"/>
      <c r="F6" s="27"/>
      <c r="G6" s="3"/>
    </row>
    <row r="7" spans="2:13" x14ac:dyDescent="0.3">
      <c r="B7" s="20" t="s">
        <v>22</v>
      </c>
      <c r="C7" s="21"/>
      <c r="D7" s="21"/>
      <c r="E7" s="22"/>
      <c r="F7" s="28"/>
      <c r="G7" s="23"/>
      <c r="H7" s="21"/>
      <c r="I7" s="21"/>
      <c r="J7" s="21"/>
      <c r="K7" s="21"/>
      <c r="L7" s="21"/>
    </row>
    <row r="8" spans="2:13" ht="6" customHeight="1" x14ac:dyDescent="0.3">
      <c r="B8" s="10"/>
      <c r="E8" s="6"/>
      <c r="F8" s="27"/>
      <c r="G8" s="3"/>
    </row>
    <row r="9" spans="2:13" x14ac:dyDescent="0.3">
      <c r="B9" s="1" t="s">
        <v>31</v>
      </c>
      <c r="G9" s="35">
        <v>600000</v>
      </c>
      <c r="H9" s="3" t="s">
        <v>25</v>
      </c>
    </row>
    <row r="10" spans="2:13" x14ac:dyDescent="0.3">
      <c r="B10" s="1" t="s">
        <v>36</v>
      </c>
      <c r="G10" s="34">
        <f>G5*12*0.4</f>
        <v>528000</v>
      </c>
      <c r="H10" s="3" t="s">
        <v>37</v>
      </c>
    </row>
    <row r="11" spans="2:13" x14ac:dyDescent="0.3">
      <c r="B11" s="1" t="s">
        <v>23</v>
      </c>
      <c r="F11" s="7"/>
      <c r="G11" s="8">
        <f>G5*10%</f>
        <v>11000</v>
      </c>
      <c r="H11" s="3" t="s">
        <v>15</v>
      </c>
    </row>
    <row r="12" spans="2:13" x14ac:dyDescent="0.3">
      <c r="B12" s="1" t="s">
        <v>14</v>
      </c>
      <c r="F12" s="7"/>
      <c r="G12" s="8">
        <f>G5*10%</f>
        <v>11000</v>
      </c>
      <c r="H12" s="3" t="s">
        <v>15</v>
      </c>
    </row>
    <row r="13" spans="2:13" x14ac:dyDescent="0.3">
      <c r="F13" s="7"/>
      <c r="G13" s="8"/>
      <c r="H13" s="3"/>
    </row>
    <row r="14" spans="2:13" ht="28.8" x14ac:dyDescent="0.3">
      <c r="B14" s="10" t="s">
        <v>35</v>
      </c>
      <c r="F14" s="25" t="s">
        <v>30</v>
      </c>
      <c r="G14" s="25" t="s">
        <v>29</v>
      </c>
      <c r="H14" s="26" t="s">
        <v>26</v>
      </c>
      <c r="I14" s="26" t="s">
        <v>32</v>
      </c>
      <c r="J14" s="26" t="s">
        <v>28</v>
      </c>
      <c r="K14" s="26" t="s">
        <v>38</v>
      </c>
    </row>
    <row r="15" spans="2:13" x14ac:dyDescent="0.3">
      <c r="B15" s="16" t="s">
        <v>20</v>
      </c>
      <c r="F15" s="29">
        <v>0.15</v>
      </c>
      <c r="G15" s="32">
        <f>-PV(F15/12,12,$G$12)</f>
        <v>121872.43162640663</v>
      </c>
      <c r="H15" s="33">
        <f>$G$9-G15</f>
        <v>478127.56837359339</v>
      </c>
      <c r="I15" s="33">
        <f>G15+H15</f>
        <v>600000</v>
      </c>
      <c r="J15" s="32">
        <f>-PMT(F15/12,12*1,G15)</f>
        <v>10999.999999999991</v>
      </c>
      <c r="K15" s="8">
        <f>J15*12*1-G15</f>
        <v>10127.568373593254</v>
      </c>
      <c r="L15" s="6"/>
    </row>
    <row r="16" spans="2:13" x14ac:dyDescent="0.3">
      <c r="B16" s="16" t="s">
        <v>24</v>
      </c>
      <c r="F16" s="29">
        <v>0.15</v>
      </c>
      <c r="G16" s="32">
        <f>-PV(F16/12,2*12,$G$12)</f>
        <v>226866.57962720733</v>
      </c>
      <c r="H16" s="33">
        <f>$G$9-G16</f>
        <v>373133.42037279264</v>
      </c>
      <c r="I16" s="33">
        <f>G16+H16</f>
        <v>600000</v>
      </c>
      <c r="J16" s="32">
        <f>-PMT(F16/12,12*2,G16)</f>
        <v>10999.999999999989</v>
      </c>
      <c r="K16" s="8">
        <f>J16*12*2-G16</f>
        <v>37133.420372792432</v>
      </c>
      <c r="L16" s="6"/>
      <c r="M16" s="6"/>
    </row>
    <row r="17" spans="2:12" x14ac:dyDescent="0.3">
      <c r="B17" s="16" t="s">
        <v>18</v>
      </c>
      <c r="F17" s="29">
        <v>0.15</v>
      </c>
      <c r="G17" s="32">
        <f>-PV(F17/12,3*12,$G$12)</f>
        <v>317319.94112414401</v>
      </c>
      <c r="H17" s="33">
        <f>$G$9-G17</f>
        <v>282680.05887585599</v>
      </c>
      <c r="I17" s="33">
        <f>G17+H17</f>
        <v>600000</v>
      </c>
      <c r="J17" s="32">
        <f>-PMT(F17/12,12*3,G17)</f>
        <v>10999.999999999993</v>
      </c>
      <c r="K17" s="8">
        <f>J17*12*3-G17</f>
        <v>78680.058875855757</v>
      </c>
    </row>
    <row r="18" spans="2:12" x14ac:dyDescent="0.3">
      <c r="B18" s="16" t="s">
        <v>27</v>
      </c>
      <c r="F18" s="29">
        <v>0.15</v>
      </c>
      <c r="G18" s="32">
        <f>-PV(F18/12,4*12,$G$12)</f>
        <v>395246.28999106475</v>
      </c>
      <c r="H18" s="33">
        <f>$G$9-G18</f>
        <v>204753.71000893525</v>
      </c>
      <c r="I18" s="33">
        <f>G18+H18</f>
        <v>600000</v>
      </c>
      <c r="J18" s="32">
        <f>-PMT(F18/12,12*4,G18)</f>
        <v>10999.999999999993</v>
      </c>
      <c r="K18" s="8">
        <f>J18*12*4-G18</f>
        <v>132753.7100089349</v>
      </c>
    </row>
    <row r="19" spans="2:12" x14ac:dyDescent="0.3">
      <c r="B19" s="16" t="s">
        <v>19</v>
      </c>
      <c r="F19" s="30">
        <f>F17</f>
        <v>0.15</v>
      </c>
      <c r="G19" s="32">
        <f>-PV(F19/12,5*12,$G$12)</f>
        <v>462380.50973959983</v>
      </c>
      <c r="H19" s="33">
        <f>$G$9-G19</f>
        <v>137619.49026040017</v>
      </c>
      <c r="I19" s="33">
        <f>G19+H19</f>
        <v>600000</v>
      </c>
      <c r="J19" s="32">
        <f>-PMT(F19/12,12*5,G19)</f>
        <v>10999.999999999993</v>
      </c>
      <c r="K19" s="8">
        <f>J19*12*5-G19</f>
        <v>197619.4902603997</v>
      </c>
    </row>
    <row r="20" spans="2:12" x14ac:dyDescent="0.3"/>
    <row r="21" spans="2:12" x14ac:dyDescent="0.3">
      <c r="B21" s="20" t="s">
        <v>33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2:12" ht="6" customHeight="1" x14ac:dyDescent="0.3">
      <c r="F22" s="2"/>
      <c r="G22" s="3"/>
    </row>
    <row r="23" spans="2:12" x14ac:dyDescent="0.3">
      <c r="E23" s="4" t="s">
        <v>0</v>
      </c>
      <c r="F23" s="5" t="s">
        <v>1</v>
      </c>
      <c r="G23" s="18" t="s">
        <v>21</v>
      </c>
    </row>
    <row r="24" spans="2:12" ht="6" customHeight="1" x14ac:dyDescent="0.3">
      <c r="E24" s="4"/>
      <c r="F24" s="5"/>
      <c r="G24" s="3"/>
    </row>
    <row r="25" spans="2:12" x14ac:dyDescent="0.3">
      <c r="B25" s="1" t="s">
        <v>3</v>
      </c>
      <c r="E25" s="8">
        <f>F25*12</f>
        <v>180000</v>
      </c>
      <c r="F25" s="17">
        <v>15000</v>
      </c>
      <c r="G25" s="37">
        <f>G12</f>
        <v>11000</v>
      </c>
      <c r="H25" s="3" t="s">
        <v>34</v>
      </c>
    </row>
    <row r="26" spans="2:12" x14ac:dyDescent="0.3">
      <c r="B26" s="9" t="s">
        <v>4</v>
      </c>
      <c r="E26" s="17">
        <v>35000</v>
      </c>
      <c r="F26" s="8">
        <f>E26/12</f>
        <v>2916.6666666666665</v>
      </c>
      <c r="H26" s="3" t="s">
        <v>5</v>
      </c>
    </row>
    <row r="27" spans="2:12" x14ac:dyDescent="0.3">
      <c r="B27" s="1" t="s">
        <v>6</v>
      </c>
      <c r="E27" s="8">
        <f>F27*12</f>
        <v>36000</v>
      </c>
      <c r="F27" s="17">
        <v>3000</v>
      </c>
      <c r="G27" s="3"/>
    </row>
    <row r="28" spans="2:12" x14ac:dyDescent="0.3">
      <c r="B28" s="1" t="s">
        <v>7</v>
      </c>
      <c r="E28" s="8">
        <f>F28*12</f>
        <v>24000</v>
      </c>
      <c r="F28" s="17">
        <v>2000</v>
      </c>
      <c r="G28" s="3"/>
    </row>
    <row r="29" spans="2:12" x14ac:dyDescent="0.3">
      <c r="B29" s="1" t="s">
        <v>8</v>
      </c>
      <c r="E29" s="8">
        <f>F29*12</f>
        <v>12000</v>
      </c>
      <c r="F29" s="17">
        <v>1000</v>
      </c>
      <c r="G29" s="3"/>
      <c r="J29" s="31"/>
    </row>
    <row r="30" spans="2:12" x14ac:dyDescent="0.3">
      <c r="B30" s="1" t="s">
        <v>9</v>
      </c>
      <c r="E30" s="8">
        <f>F30*12</f>
        <v>6000</v>
      </c>
      <c r="F30" s="17">
        <v>500</v>
      </c>
      <c r="G30" s="3"/>
    </row>
    <row r="31" spans="2:12" x14ac:dyDescent="0.3">
      <c r="B31" s="1" t="s">
        <v>10</v>
      </c>
      <c r="E31" s="8">
        <f>F31*12</f>
        <v>12000</v>
      </c>
      <c r="F31" s="17">
        <f>1000</f>
        <v>1000</v>
      </c>
      <c r="G31" s="3"/>
    </row>
    <row r="32" spans="2:12" x14ac:dyDescent="0.3">
      <c r="B32" s="1" t="s">
        <v>11</v>
      </c>
      <c r="E32" s="17">
        <v>5000</v>
      </c>
      <c r="F32" s="8">
        <f>E32/12</f>
        <v>416.66666666666669</v>
      </c>
      <c r="G32" s="3"/>
    </row>
    <row r="33" spans="2:8" x14ac:dyDescent="0.3">
      <c r="B33" s="1" t="s">
        <v>12</v>
      </c>
      <c r="E33" s="8">
        <f>F33*12</f>
        <v>24000</v>
      </c>
      <c r="F33" s="17">
        <v>2000</v>
      </c>
      <c r="G33" s="3"/>
    </row>
    <row r="34" spans="2:8" ht="15" thickBot="1" x14ac:dyDescent="0.35">
      <c r="E34" s="8"/>
      <c r="F34" s="8"/>
      <c r="G34" s="3"/>
    </row>
    <row r="35" spans="2:8" ht="15" thickBot="1" x14ac:dyDescent="0.35">
      <c r="B35" s="10" t="s">
        <v>39</v>
      </c>
      <c r="E35" s="8">
        <f>SUM(E25:E34)</f>
        <v>334000</v>
      </c>
      <c r="F35" s="11">
        <f>SUM(F25:F34)</f>
        <v>27833.333333333336</v>
      </c>
      <c r="G35" s="19">
        <f>G36*G5</f>
        <v>22000</v>
      </c>
      <c r="H35" s="3" t="str">
        <f>IF(F35&gt;G35,"нормой является "&amp;TEXT(G35,"0,0")&amp;" в мес.","")</f>
        <v>нормой является 22,000 в мес.</v>
      </c>
    </row>
    <row r="36" spans="2:8" x14ac:dyDescent="0.3">
      <c r="B36" s="10" t="s">
        <v>13</v>
      </c>
      <c r="F36" s="12">
        <f>F35/G5</f>
        <v>0.25303030303030305</v>
      </c>
      <c r="G36" s="12">
        <f>IF(F25&gt;0,20%,10%)</f>
        <v>0.2</v>
      </c>
      <c r="H36" s="3" t="str">
        <f>IF(F36&gt;G36%,"норма - 20% если есть авто-кредит и 10%, если авто-кредита нет","")</f>
        <v>норма - 20% если есть авто-кредит и 10%, если авто-кредита нет</v>
      </c>
    </row>
    <row r="37" spans="2:8" x14ac:dyDescent="0.3">
      <c r="F37" s="12"/>
      <c r="G37" s="3"/>
    </row>
    <row r="38" spans="2:8" ht="15.6" x14ac:dyDescent="0.3">
      <c r="B38" s="24" t="str">
        <f ca="1">"Copyright © "&amp;YEAR(TODAY())&amp;" MoneyPapa"</f>
        <v>Copyright © 2019 MoneyPapa</v>
      </c>
      <c r="E38" s="13"/>
      <c r="G38" s="3"/>
    </row>
    <row r="39" spans="2:8" x14ac:dyDescent="0.3">
      <c r="E39" s="13"/>
      <c r="G39" s="3"/>
    </row>
    <row r="40" spans="2:8" hidden="1" x14ac:dyDescent="0.3">
      <c r="F40" s="7"/>
      <c r="G40" s="3"/>
    </row>
    <row r="41" spans="2:8" hidden="1" x14ac:dyDescent="0.3">
      <c r="F41" s="7"/>
      <c r="G41" s="3"/>
    </row>
    <row r="42" spans="2:8" hidden="1" x14ac:dyDescent="0.3">
      <c r="F42" s="8"/>
      <c r="G42" s="8"/>
    </row>
    <row r="43" spans="2:8" hidden="1" x14ac:dyDescent="0.3"/>
    <row r="44" spans="2:8" hidden="1" x14ac:dyDescent="0.3"/>
    <row r="45" spans="2:8" hidden="1" x14ac:dyDescent="0.3"/>
    <row r="46" spans="2:8" hidden="1" x14ac:dyDescent="0.3"/>
    <row r="47" spans="2:8" hidden="1" x14ac:dyDescent="0.3"/>
    <row r="48" spans="2: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x14ac:dyDescent="0.3"/>
  </sheetData>
  <sheetProtection password="E53B" sheet="1" objects="1" scenarios="1"/>
  <conditionalFormatting sqref="F36">
    <cfRule type="cellIs" dxfId="0" priority="1" operator="greaterThan">
      <formula>$G$36</formula>
    </cfRule>
  </conditionalFormatting>
  <conditionalFormatting sqref="F35">
    <cfRule type="cellIs" dxfId="1" priority="2" operator="greaterThan">
      <formula>$G$35</formula>
    </cfRule>
  </conditionalFormatting>
  <hyperlinks>
    <hyperlink ref="B2" r:id="rId1"/>
  </hyperlinks>
  <pageMargins left="0.7" right="0.7" top="0.75" bottom="0.75" header="0.3" footer="0.3"/>
  <pageSetup paperSize="9" scale="91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Автомобильный Калькулятор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tnm</dc:creator>
  <cp:lastModifiedBy>tnm</cp:lastModifiedBy>
  <cp:lastPrinted>2017-03-11T08:27:19Z</cp:lastPrinted>
  <dcterms:created xsi:type="dcterms:W3CDTF">2017-03-11T07:15:36Z</dcterms:created>
  <dcterms:modified xsi:type="dcterms:W3CDTF">2019-06-21T13:03:56Z</dcterms:modified>
</cp:coreProperties>
</file>